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avings" state="visible" r:id="rId4"/>
  </sheets>
  <calcPr calcId="171027"/>
</workbook>
</file>

<file path=xl/sharedStrings.xml><?xml version="1.0" encoding="utf-8"?>
<sst xmlns="http://schemas.openxmlformats.org/spreadsheetml/2006/main" count="18" uniqueCount="18">
  <si>
    <t>Savings &amp; Compound Interest Calculator</t>
  </si>
  <si>
    <t>Change the yellow cells. The year-by-year table below updates. Built July 2026.</t>
  </si>
  <si>
    <t>Sunny Avenue — free UK money tools. Open the live version: https://www.sunnyavenue.co.uk/compound-interest-calculator</t>
  </si>
  <si>
    <t>Your plan</t>
  </si>
  <si>
    <t>Starting amount</t>
  </si>
  <si>
    <t>Added each month</t>
  </si>
  <si>
    <t>Growth rate (% a year)</t>
  </si>
  <si>
    <t>Number of years</t>
  </si>
  <si>
    <t>Results</t>
  </si>
  <si>
    <t>You will have paid in</t>
  </si>
  <si>
    <t>Projected value</t>
  </si>
  <si>
    <t>Growth on top</t>
  </si>
  <si>
    <t>Year by year</t>
  </si>
  <si>
    <t>Year</t>
  </si>
  <si>
    <t>Paid in</t>
  </si>
  <si>
    <t>Value</t>
  </si>
  <si>
    <t>Growth</t>
  </si>
  <si>
    <t>Assumes a constant growth rate and monthly compounding. Real returns vary, and investments can fall as well as rise. If your growth rate is above inflation, treat the projected value as roughly today's money. General information, not financial advice.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</si>
</sst>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9" x14ac:knownFonts="1">
    <font>
      <color theme="1"/>
      <family val="2"/>
      <scheme val="minor"/>
      <sz val="11"/>
      <name val="Calibri"/>
    </font>
    <font>
      <b/>
      <color rgb="FFFFFFFF"/>
      <sz val="16"/>
    </font>
    <font>
      <i/>
      <color rgb="FF5A5647"/>
      <sz val="10"/>
    </font>
    <font>
      <u/>
      <color rgb="FF1155CC"/>
      <sz val="10"/>
    </font>
    <font>
      <b/>
      <color rgb="FF23291A"/>
      <sz val="12"/>
    </font>
    <font>
      <b/>
    </font>
    <font>
      <b/>
      <color rgb="FF23291A"/>
      <sz val="13"/>
    </font>
    <font>
      <b/>
      <color rgb="FFFFFFFF"/>
    </font>
    <font>
      <i/>
      <color rgb="FF5A5647"/>
      <sz val="9"/>
    </font>
  </fonts>
  <fills count="5">
    <fill>
      <patternFill patternType="none"/>
    </fill>
    <fill>
      <patternFill patternType="gray125"/>
    </fill>
    <fill>
      <patternFill patternType="solid">
        <fgColor rgb="FF23291A"/>
      </patternFill>
    </fill>
    <fill>
      <patternFill patternType="solid">
        <fgColor rgb="FFFDF8EC"/>
      </patternFill>
    </fill>
    <fill>
      <patternFill patternType="solid">
        <fgColor rgb="FFEEF3E2"/>
      </patternFill>
    </fill>
  </fills>
  <borders count="2">
    <border>
      <left/>
      <right/>
      <top/>
      <bottom/>
      <diagonal/>
    </border>
    <border>
      <left style="thin"/>
      <right style="thin"/>
      <top style="thin"/>
      <bottom style="thin"/>
      <diagonal/>
    </border>
  </borders>
  <cellStyleXfs count="1">
    <xf numFmtId="0" fontId="0" fillId="0" borderId="0"/>
  </cellStyleXfs>
  <cellXfs count="13">
    <xf numFmtId="0" fontId="0" fillId="0" borderId="0" xfId="0"/>
    <xf numFmtId="0" fontId="1" fillId="2" borderId="0" xfId="0" applyFont="1" applyFill="1" applyAlignment="1">
      <alignment vertical="center" indent="1"/>
    </xf>
    <xf numFmtId="0" fontId="2" fillId="0" borderId="0" xfId="0" applyFont="1" applyAlignment="1">
      <alignment indent="1"/>
    </xf>
    <xf numFmtId="0" fontId="3" fillId="0" borderId="0" xfId="0" applyFont="1" applyAlignment="1">
      <alignment indent="1"/>
    </xf>
    <xf numFmtId="0" fontId="4" fillId="0" borderId="0" xfId="0" applyFont="1"/>
    <xf numFmtId="0" fontId="5" fillId="0" borderId="0" xfId="0" applyFont="1"/>
    <xf numFmtId="164" fontId="0" fillId="3" borderId="1" xfId="0" applyNumberFormat="1" applyFill="1" applyBorder="1"/>
    <xf numFmtId="2" fontId="0" fillId="3" borderId="1" xfId="0" applyNumberFormat="1" applyFill="1" applyBorder="1"/>
    <xf numFmtId="1" fontId="0" fillId="3" borderId="1" xfId="0" applyNumberFormat="1" applyFill="1" applyBorder="1"/>
    <xf numFmtId="164" fontId="0" fillId="0" borderId="0" xfId="0" applyNumberFormat="1"/>
    <xf numFmtId="164" fontId="6" fillId="4" borderId="0" xfId="0" applyNumberFormat="1" applyFont="1" applyFill="1"/>
    <xf numFmtId="0" fontId="7" fillId="2" borderId="0" xfId="0" applyFont="1" applyFill="1"/>
    <xf numFmtId="0" fontId="8"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sunnyavenue.co.uk/compound-interest-calculato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9"/>
  <sheetViews>
    <sheetView workbookViewId="0" showGridLines="0"/>
  </sheetViews>
  <sheetFormatPr defaultRowHeight="15" outlineLevelRow="0" outlineLevelCol="0" x14ac:dyDescent="55"/>
  <cols>
    <col min="1" max="1" width="34" customWidth="1"/>
    <col min="2" max="3" width="18" customWidth="1"/>
    <col min="4" max="4" width="20" customWidth="1"/>
  </cols>
  <sheetData>
    <row r="1" ht="34" customHeight="1" spans="1:4" x14ac:dyDescent="0.25">
      <c r="A1" s="1" t="s">
        <v>0</v>
      </c>
      <c r="B1" s="1"/>
      <c r="C1" s="1"/>
      <c r="D1" s="1"/>
    </row>
    <row r="2" spans="1:4" x14ac:dyDescent="0.25">
      <c r="A2" s="2" t="s">
        <v>1</v>
      </c>
      <c r="B2" s="2"/>
      <c r="C2" s="2"/>
      <c r="D2" s="2"/>
    </row>
    <row r="3" spans="1:4" x14ac:dyDescent="0.25">
      <c r="A3" s="3" t="s">
        <v>2</v>
      </c>
      <c r="B3" s="3"/>
      <c r="C3" s="3"/>
      <c r="D3" s="3"/>
    </row>
    <row r="4" ht="6" customHeight="1" x14ac:dyDescent="0.25"/>
    <row r="5" spans="1:1" x14ac:dyDescent="0.25">
      <c r="A5" s="4" t="s">
        <v>3</v>
      </c>
    </row>
    <row r="6" spans="1:2" x14ac:dyDescent="0.25">
      <c r="A6" s="5" t="s">
        <v>4</v>
      </c>
      <c r="B6" s="6">
        <v>1000</v>
      </c>
    </row>
    <row r="7" spans="1:2" x14ac:dyDescent="0.25">
      <c r="A7" s="5" t="s">
        <v>5</v>
      </c>
      <c r="B7" s="6">
        <v>200</v>
      </c>
    </row>
    <row r="8" spans="1:2" x14ac:dyDescent="0.25">
      <c r="A8" s="5" t="s">
        <v>6</v>
      </c>
      <c r="B8" s="7">
        <v>5</v>
      </c>
    </row>
    <row r="9" spans="1:2" x14ac:dyDescent="0.25">
      <c r="A9" s="5" t="s">
        <v>7</v>
      </c>
      <c r="B9" s="8">
        <v>20</v>
      </c>
    </row>
    <row r="11" spans="1:1" x14ac:dyDescent="0.25">
      <c r="A11" s="4" t="s">
        <v>8</v>
      </c>
    </row>
    <row r="12" spans="1:2" x14ac:dyDescent="0.25">
      <c r="A12" t="s">
        <v>9</v>
      </c>
      <c r="B12" s="9">
        <f>B6+(B7*B9*12)</f>
      </c>
    </row>
    <row r="13" spans="1:2" x14ac:dyDescent="0.25">
      <c r="A13" t="s">
        <v>10</v>
      </c>
      <c r="B13" s="9">
        <f>FV(B8/100/12,B9*12,-B7,-B6)</f>
      </c>
    </row>
    <row r="14" spans="1:2" x14ac:dyDescent="0.25">
      <c r="A14" s="5" t="s">
        <v>11</v>
      </c>
      <c r="B14" s="10">
        <f>B13-B12</f>
      </c>
    </row>
    <row r="16" spans="1:1" x14ac:dyDescent="0.25">
      <c r="A16" s="4" t="s">
        <v>12</v>
      </c>
    </row>
    <row r="17" spans="1:4" x14ac:dyDescent="0.25">
      <c r="A17" s="11" t="s">
        <v>13</v>
      </c>
      <c r="B17" s="11" t="s">
        <v>14</v>
      </c>
      <c r="C17" s="11" t="s">
        <v>15</v>
      </c>
      <c r="D17" s="11" t="s">
        <v>16</v>
      </c>
    </row>
    <row r="18" spans="1:4" x14ac:dyDescent="0.25">
      <c r="A18">
        <f>IF(1&gt;$B$9,"",1)</f>
      </c>
      <c r="B18" s="9">
        <f>IF(1&gt;$B$9,"",$B$6+($B$7*1*12))</f>
      </c>
      <c r="C18" s="9">
        <f>IF(1&gt;$B$9,"",FV($B$8/100/12,1*12,-$B$7,-$B$6))</f>
      </c>
      <c r="D18" s="9">
        <f>IF(1&gt;$B$9,"",C18-B18)</f>
      </c>
    </row>
    <row r="19" spans="1:4" x14ac:dyDescent="0.25">
      <c r="A19">
        <f>IF(2&gt;$B$9,"",2)</f>
      </c>
      <c r="B19" s="9">
        <f>IF(2&gt;$B$9,"",$B$6+($B$7*2*12))</f>
      </c>
      <c r="C19" s="9">
        <f>IF(2&gt;$B$9,"",FV($B$8/100/12,2*12,-$B$7,-$B$6))</f>
      </c>
      <c r="D19" s="9">
        <f>IF(2&gt;$B$9,"",C19-B19)</f>
      </c>
    </row>
    <row r="20" spans="1:4" x14ac:dyDescent="0.25">
      <c r="A20">
        <f>IF(3&gt;$B$9,"",3)</f>
      </c>
      <c r="B20" s="9">
        <f>IF(3&gt;$B$9,"",$B$6+($B$7*3*12))</f>
      </c>
      <c r="C20" s="9">
        <f>IF(3&gt;$B$9,"",FV($B$8/100/12,3*12,-$B$7,-$B$6))</f>
      </c>
      <c r="D20" s="9">
        <f>IF(3&gt;$B$9,"",C20-B20)</f>
      </c>
    </row>
    <row r="21" spans="1:4" x14ac:dyDescent="0.25">
      <c r="A21">
        <f>IF(4&gt;$B$9,"",4)</f>
      </c>
      <c r="B21" s="9">
        <f>IF(4&gt;$B$9,"",$B$6+($B$7*4*12))</f>
      </c>
      <c r="C21" s="9">
        <f>IF(4&gt;$B$9,"",FV($B$8/100/12,4*12,-$B$7,-$B$6))</f>
      </c>
      <c r="D21" s="9">
        <f>IF(4&gt;$B$9,"",C21-B21)</f>
      </c>
    </row>
    <row r="22" spans="1:4" x14ac:dyDescent="0.25">
      <c r="A22">
        <f>IF(5&gt;$B$9,"",5)</f>
      </c>
      <c r="B22" s="9">
        <f>IF(5&gt;$B$9,"",$B$6+($B$7*5*12))</f>
      </c>
      <c r="C22" s="9">
        <f>IF(5&gt;$B$9,"",FV($B$8/100/12,5*12,-$B$7,-$B$6))</f>
      </c>
      <c r="D22" s="9">
        <f>IF(5&gt;$B$9,"",C22-B22)</f>
      </c>
    </row>
    <row r="23" spans="1:4" x14ac:dyDescent="0.25">
      <c r="A23">
        <f>IF(6&gt;$B$9,"",6)</f>
      </c>
      <c r="B23" s="9">
        <f>IF(6&gt;$B$9,"",$B$6+($B$7*6*12))</f>
      </c>
      <c r="C23" s="9">
        <f>IF(6&gt;$B$9,"",FV($B$8/100/12,6*12,-$B$7,-$B$6))</f>
      </c>
      <c r="D23" s="9">
        <f>IF(6&gt;$B$9,"",C23-B23)</f>
      </c>
    </row>
    <row r="24" spans="1:4" x14ac:dyDescent="0.25">
      <c r="A24">
        <f>IF(7&gt;$B$9,"",7)</f>
      </c>
      <c r="B24" s="9">
        <f>IF(7&gt;$B$9,"",$B$6+($B$7*7*12))</f>
      </c>
      <c r="C24" s="9">
        <f>IF(7&gt;$B$9,"",FV($B$8/100/12,7*12,-$B$7,-$B$6))</f>
      </c>
      <c r="D24" s="9">
        <f>IF(7&gt;$B$9,"",C24-B24)</f>
      </c>
    </row>
    <row r="25" spans="1:4" x14ac:dyDescent="0.25">
      <c r="A25">
        <f>IF(8&gt;$B$9,"",8)</f>
      </c>
      <c r="B25" s="9">
        <f>IF(8&gt;$B$9,"",$B$6+($B$7*8*12))</f>
      </c>
      <c r="C25" s="9">
        <f>IF(8&gt;$B$9,"",FV($B$8/100/12,8*12,-$B$7,-$B$6))</f>
      </c>
      <c r="D25" s="9">
        <f>IF(8&gt;$B$9,"",C25-B25)</f>
      </c>
    </row>
    <row r="26" spans="1:4" x14ac:dyDescent="0.25">
      <c r="A26">
        <f>IF(9&gt;$B$9,"",9)</f>
      </c>
      <c r="B26" s="9">
        <f>IF(9&gt;$B$9,"",$B$6+($B$7*9*12))</f>
      </c>
      <c r="C26" s="9">
        <f>IF(9&gt;$B$9,"",FV($B$8/100/12,9*12,-$B$7,-$B$6))</f>
      </c>
      <c r="D26" s="9">
        <f>IF(9&gt;$B$9,"",C26-B26)</f>
      </c>
    </row>
    <row r="27" spans="1:4" x14ac:dyDescent="0.25">
      <c r="A27">
        <f>IF(10&gt;$B$9,"",10)</f>
      </c>
      <c r="B27" s="9">
        <f>IF(10&gt;$B$9,"",$B$6+($B$7*10*12))</f>
      </c>
      <c r="C27" s="9">
        <f>IF(10&gt;$B$9,"",FV($B$8/100/12,10*12,-$B$7,-$B$6))</f>
      </c>
      <c r="D27" s="9">
        <f>IF(10&gt;$B$9,"",C27-B27)</f>
      </c>
    </row>
    <row r="28" spans="1:4" x14ac:dyDescent="0.25">
      <c r="A28">
        <f>IF(11&gt;$B$9,"",11)</f>
      </c>
      <c r="B28" s="9">
        <f>IF(11&gt;$B$9,"",$B$6+($B$7*11*12))</f>
      </c>
      <c r="C28" s="9">
        <f>IF(11&gt;$B$9,"",FV($B$8/100/12,11*12,-$B$7,-$B$6))</f>
      </c>
      <c r="D28" s="9">
        <f>IF(11&gt;$B$9,"",C28-B28)</f>
      </c>
    </row>
    <row r="29" spans="1:4" x14ac:dyDescent="0.25">
      <c r="A29">
        <f>IF(12&gt;$B$9,"",12)</f>
      </c>
      <c r="B29" s="9">
        <f>IF(12&gt;$B$9,"",$B$6+($B$7*12*12))</f>
      </c>
      <c r="C29" s="9">
        <f>IF(12&gt;$B$9,"",FV($B$8/100/12,12*12,-$B$7,-$B$6))</f>
      </c>
      <c r="D29" s="9">
        <f>IF(12&gt;$B$9,"",C29-B29)</f>
      </c>
    </row>
    <row r="30" spans="1:4" x14ac:dyDescent="0.25">
      <c r="A30">
        <f>IF(13&gt;$B$9,"",13)</f>
      </c>
      <c r="B30" s="9">
        <f>IF(13&gt;$B$9,"",$B$6+($B$7*13*12))</f>
      </c>
      <c r="C30" s="9">
        <f>IF(13&gt;$B$9,"",FV($B$8/100/12,13*12,-$B$7,-$B$6))</f>
      </c>
      <c r="D30" s="9">
        <f>IF(13&gt;$B$9,"",C30-B30)</f>
      </c>
    </row>
    <row r="31" spans="1:4" x14ac:dyDescent="0.25">
      <c r="A31">
        <f>IF(14&gt;$B$9,"",14)</f>
      </c>
      <c r="B31" s="9">
        <f>IF(14&gt;$B$9,"",$B$6+($B$7*14*12))</f>
      </c>
      <c r="C31" s="9">
        <f>IF(14&gt;$B$9,"",FV($B$8/100/12,14*12,-$B$7,-$B$6))</f>
      </c>
      <c r="D31" s="9">
        <f>IF(14&gt;$B$9,"",C31-B31)</f>
      </c>
    </row>
    <row r="32" spans="1:4" x14ac:dyDescent="0.25">
      <c r="A32">
        <f>IF(15&gt;$B$9,"",15)</f>
      </c>
      <c r="B32" s="9">
        <f>IF(15&gt;$B$9,"",$B$6+($B$7*15*12))</f>
      </c>
      <c r="C32" s="9">
        <f>IF(15&gt;$B$9,"",FV($B$8/100/12,15*12,-$B$7,-$B$6))</f>
      </c>
      <c r="D32" s="9">
        <f>IF(15&gt;$B$9,"",C32-B32)</f>
      </c>
    </row>
    <row r="33" spans="1:4" x14ac:dyDescent="0.25">
      <c r="A33">
        <f>IF(16&gt;$B$9,"",16)</f>
      </c>
      <c r="B33" s="9">
        <f>IF(16&gt;$B$9,"",$B$6+($B$7*16*12))</f>
      </c>
      <c r="C33" s="9">
        <f>IF(16&gt;$B$9,"",FV($B$8/100/12,16*12,-$B$7,-$B$6))</f>
      </c>
      <c r="D33" s="9">
        <f>IF(16&gt;$B$9,"",C33-B33)</f>
      </c>
    </row>
    <row r="34" spans="1:4" x14ac:dyDescent="0.25">
      <c r="A34">
        <f>IF(17&gt;$B$9,"",17)</f>
      </c>
      <c r="B34" s="9">
        <f>IF(17&gt;$B$9,"",$B$6+($B$7*17*12))</f>
      </c>
      <c r="C34" s="9">
        <f>IF(17&gt;$B$9,"",FV($B$8/100/12,17*12,-$B$7,-$B$6))</f>
      </c>
      <c r="D34" s="9">
        <f>IF(17&gt;$B$9,"",C34-B34)</f>
      </c>
    </row>
    <row r="35" spans="1:4" x14ac:dyDescent="0.25">
      <c r="A35">
        <f>IF(18&gt;$B$9,"",18)</f>
      </c>
      <c r="B35" s="9">
        <f>IF(18&gt;$B$9,"",$B$6+($B$7*18*12))</f>
      </c>
      <c r="C35" s="9">
        <f>IF(18&gt;$B$9,"",FV($B$8/100/12,18*12,-$B$7,-$B$6))</f>
      </c>
      <c r="D35" s="9">
        <f>IF(18&gt;$B$9,"",C35-B35)</f>
      </c>
    </row>
    <row r="36" spans="1:4" x14ac:dyDescent="0.25">
      <c r="A36">
        <f>IF(19&gt;$B$9,"",19)</f>
      </c>
      <c r="B36" s="9">
        <f>IF(19&gt;$B$9,"",$B$6+($B$7*19*12))</f>
      </c>
      <c r="C36" s="9">
        <f>IF(19&gt;$B$9,"",FV($B$8/100/12,19*12,-$B$7,-$B$6))</f>
      </c>
      <c r="D36" s="9">
        <f>IF(19&gt;$B$9,"",C36-B36)</f>
      </c>
    </row>
    <row r="37" spans="1:4" x14ac:dyDescent="0.25">
      <c r="A37">
        <f>IF(20&gt;$B$9,"",20)</f>
      </c>
      <c r="B37" s="9">
        <f>IF(20&gt;$B$9,"",$B$6+($B$7*20*12))</f>
      </c>
      <c r="C37" s="9">
        <f>IF(20&gt;$B$9,"",FV($B$8/100/12,20*12,-$B$7,-$B$6))</f>
      </c>
      <c r="D37" s="9">
        <f>IF(20&gt;$B$9,"",C37-B37)</f>
      </c>
    </row>
    <row r="38" spans="1:4" x14ac:dyDescent="0.25">
      <c r="A38">
        <f>IF(21&gt;$B$9,"",21)</f>
      </c>
      <c r="B38" s="9">
        <f>IF(21&gt;$B$9,"",$B$6+($B$7*21*12))</f>
      </c>
      <c r="C38" s="9">
        <f>IF(21&gt;$B$9,"",FV($B$8/100/12,21*12,-$B$7,-$B$6))</f>
      </c>
      <c r="D38" s="9">
        <f>IF(21&gt;$B$9,"",C38-B38)</f>
      </c>
    </row>
    <row r="39" spans="1:4" x14ac:dyDescent="0.25">
      <c r="A39">
        <f>IF(22&gt;$B$9,"",22)</f>
      </c>
      <c r="B39" s="9">
        <f>IF(22&gt;$B$9,"",$B$6+($B$7*22*12))</f>
      </c>
      <c r="C39" s="9">
        <f>IF(22&gt;$B$9,"",FV($B$8/100/12,22*12,-$B$7,-$B$6))</f>
      </c>
      <c r="D39" s="9">
        <f>IF(22&gt;$B$9,"",C39-B39)</f>
      </c>
    </row>
    <row r="40" spans="1:4" x14ac:dyDescent="0.25">
      <c r="A40">
        <f>IF(23&gt;$B$9,"",23)</f>
      </c>
      <c r="B40" s="9">
        <f>IF(23&gt;$B$9,"",$B$6+($B$7*23*12))</f>
      </c>
      <c r="C40" s="9">
        <f>IF(23&gt;$B$9,"",FV($B$8/100/12,23*12,-$B$7,-$B$6))</f>
      </c>
      <c r="D40" s="9">
        <f>IF(23&gt;$B$9,"",C40-B40)</f>
      </c>
    </row>
    <row r="41" spans="1:4" x14ac:dyDescent="0.25">
      <c r="A41">
        <f>IF(24&gt;$B$9,"",24)</f>
      </c>
      <c r="B41" s="9">
        <f>IF(24&gt;$B$9,"",$B$6+($B$7*24*12))</f>
      </c>
      <c r="C41" s="9">
        <f>IF(24&gt;$B$9,"",FV($B$8/100/12,24*12,-$B$7,-$B$6))</f>
      </c>
      <c r="D41" s="9">
        <f>IF(24&gt;$B$9,"",C41-B41)</f>
      </c>
    </row>
    <row r="42" spans="1:4" x14ac:dyDescent="0.25">
      <c r="A42">
        <f>IF(25&gt;$B$9,"",25)</f>
      </c>
      <c r="B42" s="9">
        <f>IF(25&gt;$B$9,"",$B$6+($B$7*25*12))</f>
      </c>
      <c r="C42" s="9">
        <f>IF(25&gt;$B$9,"",FV($B$8/100/12,25*12,-$B$7,-$B$6))</f>
      </c>
      <c r="D42" s="9">
        <f>IF(25&gt;$B$9,"",C42-B42)</f>
      </c>
    </row>
    <row r="43" spans="1:4" x14ac:dyDescent="0.25">
      <c r="A43">
        <f>IF(26&gt;$B$9,"",26)</f>
      </c>
      <c r="B43" s="9">
        <f>IF(26&gt;$B$9,"",$B$6+($B$7*26*12))</f>
      </c>
      <c r="C43" s="9">
        <f>IF(26&gt;$B$9,"",FV($B$8/100/12,26*12,-$B$7,-$B$6))</f>
      </c>
      <c r="D43" s="9">
        <f>IF(26&gt;$B$9,"",C43-B43)</f>
      </c>
    </row>
    <row r="44" spans="1:4" x14ac:dyDescent="0.25">
      <c r="A44">
        <f>IF(27&gt;$B$9,"",27)</f>
      </c>
      <c r="B44" s="9">
        <f>IF(27&gt;$B$9,"",$B$6+($B$7*27*12))</f>
      </c>
      <c r="C44" s="9">
        <f>IF(27&gt;$B$9,"",FV($B$8/100/12,27*12,-$B$7,-$B$6))</f>
      </c>
      <c r="D44" s="9">
        <f>IF(27&gt;$B$9,"",C44-B44)</f>
      </c>
    </row>
    <row r="45" spans="1:4" x14ac:dyDescent="0.25">
      <c r="A45">
        <f>IF(28&gt;$B$9,"",28)</f>
      </c>
      <c r="B45" s="9">
        <f>IF(28&gt;$B$9,"",$B$6+($B$7*28*12))</f>
      </c>
      <c r="C45" s="9">
        <f>IF(28&gt;$B$9,"",FV($B$8/100/12,28*12,-$B$7,-$B$6))</f>
      </c>
      <c r="D45" s="9">
        <f>IF(28&gt;$B$9,"",C45-B45)</f>
      </c>
    </row>
    <row r="46" spans="1:4" x14ac:dyDescent="0.25">
      <c r="A46">
        <f>IF(29&gt;$B$9,"",29)</f>
      </c>
      <c r="B46" s="9">
        <f>IF(29&gt;$B$9,"",$B$6+($B$7*29*12))</f>
      </c>
      <c r="C46" s="9">
        <f>IF(29&gt;$B$9,"",FV($B$8/100/12,29*12,-$B$7,-$B$6))</f>
      </c>
      <c r="D46" s="9">
        <f>IF(29&gt;$B$9,"",C46-B46)</f>
      </c>
    </row>
    <row r="47" spans="1:4" x14ac:dyDescent="0.25">
      <c r="A47">
        <f>IF(30&gt;$B$9,"",30)</f>
      </c>
      <c r="B47" s="9">
        <f>IF(30&gt;$B$9,"",$B$6+($B$7*30*12))</f>
      </c>
      <c r="C47" s="9">
        <f>IF(30&gt;$B$9,"",FV($B$8/100/12,30*12,-$B$7,-$B$6))</f>
      </c>
      <c r="D47" s="9">
        <f>IF(30&gt;$B$9,"",C47-B47)</f>
      </c>
    </row>
    <row r="48" spans="1:4" x14ac:dyDescent="0.25">
      <c r="A48">
        <f>IF(31&gt;$B$9,"",31)</f>
      </c>
      <c r="B48" s="9">
        <f>IF(31&gt;$B$9,"",$B$6+($B$7*31*12))</f>
      </c>
      <c r="C48" s="9">
        <f>IF(31&gt;$B$9,"",FV($B$8/100/12,31*12,-$B$7,-$B$6))</f>
      </c>
      <c r="D48" s="9">
        <f>IF(31&gt;$B$9,"",C48-B48)</f>
      </c>
    </row>
    <row r="49" spans="1:4" x14ac:dyDescent="0.25">
      <c r="A49">
        <f>IF(32&gt;$B$9,"",32)</f>
      </c>
      <c r="B49" s="9">
        <f>IF(32&gt;$B$9,"",$B$6+($B$7*32*12))</f>
      </c>
      <c r="C49" s="9">
        <f>IF(32&gt;$B$9,"",FV($B$8/100/12,32*12,-$B$7,-$B$6))</f>
      </c>
      <c r="D49" s="9">
        <f>IF(32&gt;$B$9,"",C49-B49)</f>
      </c>
    </row>
    <row r="50" spans="1:4" x14ac:dyDescent="0.25">
      <c r="A50">
        <f>IF(33&gt;$B$9,"",33)</f>
      </c>
      <c r="B50" s="9">
        <f>IF(33&gt;$B$9,"",$B$6+($B$7*33*12))</f>
      </c>
      <c r="C50" s="9">
        <f>IF(33&gt;$B$9,"",FV($B$8/100/12,33*12,-$B$7,-$B$6))</f>
      </c>
      <c r="D50" s="9">
        <f>IF(33&gt;$B$9,"",C50-B50)</f>
      </c>
    </row>
    <row r="51" spans="1:4" x14ac:dyDescent="0.25">
      <c r="A51">
        <f>IF(34&gt;$B$9,"",34)</f>
      </c>
      <c r="B51" s="9">
        <f>IF(34&gt;$B$9,"",$B$6+($B$7*34*12))</f>
      </c>
      <c r="C51" s="9">
        <f>IF(34&gt;$B$9,"",FV($B$8/100/12,34*12,-$B$7,-$B$6))</f>
      </c>
      <c r="D51" s="9">
        <f>IF(34&gt;$B$9,"",C51-B51)</f>
      </c>
    </row>
    <row r="52" spans="1:4" x14ac:dyDescent="0.25">
      <c r="A52">
        <f>IF(35&gt;$B$9,"",35)</f>
      </c>
      <c r="B52" s="9">
        <f>IF(35&gt;$B$9,"",$B$6+($B$7*35*12))</f>
      </c>
      <c r="C52" s="9">
        <f>IF(35&gt;$B$9,"",FV($B$8/100/12,35*12,-$B$7,-$B$6))</f>
      </c>
      <c r="D52" s="9">
        <f>IF(35&gt;$B$9,"",C52-B52)</f>
      </c>
    </row>
    <row r="53" spans="1:4" x14ac:dyDescent="0.25">
      <c r="A53">
        <f>IF(36&gt;$B$9,"",36)</f>
      </c>
      <c r="B53" s="9">
        <f>IF(36&gt;$B$9,"",$B$6+($B$7*36*12))</f>
      </c>
      <c r="C53" s="9">
        <f>IF(36&gt;$B$9,"",FV($B$8/100/12,36*12,-$B$7,-$B$6))</f>
      </c>
      <c r="D53" s="9">
        <f>IF(36&gt;$B$9,"",C53-B53)</f>
      </c>
    </row>
    <row r="54" spans="1:4" x14ac:dyDescent="0.25">
      <c r="A54">
        <f>IF(37&gt;$B$9,"",37)</f>
      </c>
      <c r="B54" s="9">
        <f>IF(37&gt;$B$9,"",$B$6+($B$7*37*12))</f>
      </c>
      <c r="C54" s="9">
        <f>IF(37&gt;$B$9,"",FV($B$8/100/12,37*12,-$B$7,-$B$6))</f>
      </c>
      <c r="D54" s="9">
        <f>IF(37&gt;$B$9,"",C54-B54)</f>
      </c>
    </row>
    <row r="55" spans="1:4" x14ac:dyDescent="0.25">
      <c r="A55">
        <f>IF(38&gt;$B$9,"",38)</f>
      </c>
      <c r="B55" s="9">
        <f>IF(38&gt;$B$9,"",$B$6+($B$7*38*12))</f>
      </c>
      <c r="C55" s="9">
        <f>IF(38&gt;$B$9,"",FV($B$8/100/12,38*12,-$B$7,-$B$6))</f>
      </c>
      <c r="D55" s="9">
        <f>IF(38&gt;$B$9,"",C55-B55)</f>
      </c>
    </row>
    <row r="56" spans="1:4" x14ac:dyDescent="0.25">
      <c r="A56">
        <f>IF(39&gt;$B$9,"",39)</f>
      </c>
      <c r="B56" s="9">
        <f>IF(39&gt;$B$9,"",$B$6+($B$7*39*12))</f>
      </c>
      <c r="C56" s="9">
        <f>IF(39&gt;$B$9,"",FV($B$8/100/12,39*12,-$B$7,-$B$6))</f>
      </c>
      <c r="D56" s="9">
        <f>IF(39&gt;$B$9,"",C56-B56)</f>
      </c>
    </row>
    <row r="57" spans="1:4" x14ac:dyDescent="0.25">
      <c r="A57">
        <f>IF(40&gt;$B$9,"",40)</f>
      </c>
      <c r="B57" s="9">
        <f>IF(40&gt;$B$9,"",$B$6+($B$7*40*12))</f>
      </c>
      <c r="C57" s="9">
        <f>IF(40&gt;$B$9,"",FV($B$8/100/12,40*12,-$B$7,-$B$6))</f>
      </c>
      <c r="D57" s="9">
        <f>IF(40&gt;$B$9,"",C57-B57)</f>
      </c>
    </row>
    <row r="59" ht="30" customHeight="1" spans="1:4" x14ac:dyDescent="0.25">
      <c r="A59" s="12" t="s">
        <v>17</v>
      </c>
      <c r="B59" s="12"/>
      <c r="C59" s="12"/>
      <c r="D59" s="12"/>
    </row>
  </sheetData>
  <mergeCells count="4">
    <mergeCell ref="A1:D1"/>
    <mergeCell ref="A2:D2"/>
    <mergeCell ref="A3:D3"/>
    <mergeCell ref="A59:D59"/>
  </mergeCells>
  <hyperlinks>
    <hyperlink ref="A3"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Savings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Sunny Avenue</dc:creator>
  <dc:title/>
  <dc:subject/>
  <dc:description/>
  <cp:keywords/>
  <cp:category/>
  <cp:lastModifiedBy>Unknown</cp:lastModifiedBy>
  <dcterms:created xsi:type="dcterms:W3CDTF">2026-08-03T06:43:03Z</dcterms:created>
  <dcterms:modified xsi:type="dcterms:W3CDTF">2026-08-03T06:43:03Z</dcterms:modified>
</cp:coreProperties>
</file>